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75" windowHeight="8640" activeTab="0"/>
  </bookViews>
  <sheets>
    <sheet name="50 subj" sheetId="1" r:id="rId1"/>
    <sheet name="32 subj LEPE" sheetId="2" r:id="rId2"/>
    <sheet name="32 subj" sheetId="3" r:id="rId3"/>
    <sheet name="18 subj" sheetId="4" r:id="rId4"/>
    <sheet name="12 subj" sheetId="5" r:id="rId5"/>
    <sheet name="8 or 4 subj" sheetId="6" r:id="rId6"/>
    <sheet name="3 subj" sheetId="7" r:id="rId7"/>
  </sheets>
  <definedNames/>
  <calcPr fullCalcOnLoad="1"/>
</workbook>
</file>

<file path=xl/sharedStrings.xml><?xml version="1.0" encoding="utf-8"?>
<sst xmlns="http://schemas.openxmlformats.org/spreadsheetml/2006/main" count="222" uniqueCount="111">
  <si>
    <t>Run no.</t>
  </si>
  <si>
    <t>Sheet no.</t>
  </si>
  <si>
    <t>PP (num)</t>
  </si>
  <si>
    <t>A1</t>
  </si>
  <si>
    <t>B1</t>
  </si>
  <si>
    <t>C1</t>
  </si>
  <si>
    <t>D1</t>
  </si>
  <si>
    <t>E1</t>
  </si>
  <si>
    <t>F1</t>
  </si>
  <si>
    <t>G1</t>
  </si>
  <si>
    <t>H1</t>
  </si>
  <si>
    <t>A2</t>
  </si>
  <si>
    <t>B2</t>
  </si>
  <si>
    <t>C2</t>
  </si>
  <si>
    <t>D2</t>
  </si>
  <si>
    <t>E2</t>
  </si>
  <si>
    <t>F2</t>
  </si>
  <si>
    <t>G2</t>
  </si>
  <si>
    <t>H2</t>
  </si>
  <si>
    <t>A3</t>
  </si>
  <si>
    <t>B3</t>
  </si>
  <si>
    <t>C3</t>
  </si>
  <si>
    <t>D3</t>
  </si>
  <si>
    <t>E3</t>
  </si>
  <si>
    <t>F3</t>
  </si>
  <si>
    <t>G3</t>
  </si>
  <si>
    <t>H3</t>
  </si>
  <si>
    <t>A4</t>
  </si>
  <si>
    <t>B4</t>
  </si>
  <si>
    <t>C4</t>
  </si>
  <si>
    <t>D4</t>
  </si>
  <si>
    <t>E4</t>
  </si>
  <si>
    <t>F4</t>
  </si>
  <si>
    <t>G4</t>
  </si>
  <si>
    <t>H4</t>
  </si>
  <si>
    <t>Run starts</t>
  </si>
  <si>
    <t>Run ends</t>
  </si>
  <si>
    <t>Serial number:</t>
  </si>
  <si>
    <t>Run size (sheets):</t>
  </si>
  <si>
    <t>Run start (optional):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</si>
  <si>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</si>
  <si>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</si>
  <si>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</si>
  <si>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</si>
  <si>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</si>
  <si>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</si>
  <si>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</si>
  <si>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</si>
  <si>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</si>
  <si>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</si>
  <si>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</si>
  <si>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</si>
  <si>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</si>
  <si>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</si>
  <si>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</si>
  <si>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</si>
  <si>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</si>
  <si>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</si>
  <si>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Plate pos.</t>
  </si>
  <si>
    <t>32-subject-sheet serial layout calculator</t>
  </si>
  <si>
    <t>18-subject-sheet serial layout calculator</t>
  </si>
  <si>
    <t>A run size of 200,000 sheets is correct for most current notes.  Change it to 100,000 sheets for $50's, $100's, and many star notes.</t>
  </si>
  <si>
    <t>Various smaller run sizes were used in past decades; for example, use 20,000 for 1976 $2's.</t>
  </si>
  <si>
    <t>For certain recent stars, uncut sheet notes, &amp;c. printed in irregular runs, both the run size and the starting serial must be specified.</t>
  </si>
  <si>
    <t>Except in these special cases, the optional run start box should be left blank.</t>
  </si>
  <si>
    <t>Enter an eight-digit serial number at upper left, and the serial layout of its original sheet will be displayed at right.</t>
  </si>
  <si>
    <t>Typical run sizes from the 18-subject era will be either 20,000 or 8000 sheets.</t>
  </si>
  <si>
    <t>Stack starts</t>
  </si>
  <si>
    <t>Stack ends</t>
  </si>
  <si>
    <t>32-subject-sheet serial layout calculator  (LEPE version)</t>
  </si>
  <si>
    <t>12-subject-sheet serial layout calculator</t>
  </si>
  <si>
    <t>Enter an eight-digit serial number at upper left, and the serial layout of its original half-sheet will be displayed at right.</t>
  </si>
  <si>
    <t>Run sizes from the 12-subject era were quite variable, so it is not possible to know which half of the sheet a given serial will fall on.</t>
  </si>
  <si>
    <t>A/G</t>
  </si>
  <si>
    <t>B/H</t>
  </si>
  <si>
    <t>C/I</t>
  </si>
  <si>
    <t>D/J</t>
  </si>
  <si>
    <t>E/K</t>
  </si>
  <si>
    <t>F/L</t>
  </si>
  <si>
    <t>Stack no.</t>
  </si>
  <si>
    <t>I1</t>
  </si>
  <si>
    <t>J1</t>
  </si>
  <si>
    <t>I2</t>
  </si>
  <si>
    <t>J2</t>
  </si>
  <si>
    <t>I3</t>
  </si>
  <si>
    <t>J3</t>
  </si>
  <si>
    <t>I4</t>
  </si>
  <si>
    <t>J4</t>
  </si>
  <si>
    <t>A5</t>
  </si>
  <si>
    <t>B5</t>
  </si>
  <si>
    <t>C5</t>
  </si>
  <si>
    <t>D5</t>
  </si>
  <si>
    <t>E5</t>
  </si>
  <si>
    <t>F5</t>
  </si>
  <si>
    <t>G5</t>
  </si>
  <si>
    <t>H5</t>
  </si>
  <si>
    <t>I5</t>
  </si>
  <si>
    <t>J5</t>
  </si>
  <si>
    <t>50-subject-sheet serial layout calculator</t>
  </si>
  <si>
    <t>A run size of 128,000 sheets is standard for 50-subject $1 notes, but 64,000 sheets for stars.</t>
  </si>
  <si>
    <t>To obtain meaningful results, the run size must be a multiple of 100 sheets, and the starting serial must end in 01.</t>
  </si>
  <si>
    <t>For LEPE printings, the run size and run start do not actually affect the plate positions; they are used only to display the sheet numbers and such.</t>
  </si>
  <si>
    <t>8- or 4-subject-sheet serial layout calculator</t>
  </si>
  <si>
    <t>A/E</t>
  </si>
  <si>
    <t>B/F</t>
  </si>
  <si>
    <t>C/G</t>
  </si>
  <si>
    <t>D/H</t>
  </si>
  <si>
    <t>3-subject-sheet serial layout calculator</t>
  </si>
  <si>
    <t>When 8-subject sheets were printed, they were cut into two 4-subject sheets before numbering,</t>
  </si>
  <si>
    <t>Enter a serial number at upper left, and the serial layout of its original sheet will be displayed at right.</t>
  </si>
  <si>
    <t>and the A-D sides and E-H sides were mixed freely; thus any serial number can fall on either side.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</si>
</sst>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8"/>
      <color indexed="8"/>
      <name val="Calibri"/>
      <family val="2"/>
    </font>
    <font>
      <b/>
      <sz val="11"/>
      <color indexed="55"/>
      <name val="Calibri"/>
      <family val="2"/>
    </font>
    <font>
      <sz val="11"/>
      <color indexed="55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8"/>
      <color theme="1"/>
      <name val="Calibri"/>
      <family val="2"/>
    </font>
    <font>
      <b/>
      <sz val="11"/>
      <color theme="0" tint="-0.3499799966812134"/>
      <name val="Calibri"/>
      <family val="2"/>
    </font>
    <font>
      <sz val="11"/>
      <color theme="0" tint="-0.3499799966812134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/>
      <right/>
      <top/>
      <bottom style="medium"/>
    </border>
    <border>
      <left/>
      <right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NumberFormat="1" applyAlignment="1">
      <alignment/>
    </xf>
    <xf numFmtId="0" fontId="37" fillId="0" borderId="0" xfId="0" applyFont="1" applyAlignment="1">
      <alignment/>
    </xf>
    <xf numFmtId="0" fontId="0" fillId="0" borderId="12" xfId="0" applyBorder="1" applyAlignment="1">
      <alignment/>
    </xf>
    <xf numFmtId="0" fontId="39" fillId="0" borderId="0" xfId="0" applyFont="1" applyAlignment="1">
      <alignment/>
    </xf>
    <xf numFmtId="0" fontId="0" fillId="32" borderId="13" xfId="0" applyFill="1" applyBorder="1" applyAlignment="1">
      <alignment vertical="top"/>
    </xf>
    <xf numFmtId="164" fontId="0" fillId="32" borderId="14" xfId="0" applyNumberFormat="1" applyFill="1" applyBorder="1" applyAlignment="1">
      <alignment/>
    </xf>
    <xf numFmtId="0" fontId="0" fillId="32" borderId="15" xfId="0" applyFill="1" applyBorder="1" applyAlignment="1">
      <alignment vertical="top"/>
    </xf>
    <xf numFmtId="0" fontId="0" fillId="32" borderId="16" xfId="0" applyFill="1" applyBorder="1" applyAlignment="1">
      <alignment vertical="top"/>
    </xf>
    <xf numFmtId="0" fontId="0" fillId="32" borderId="11" xfId="0" applyFill="1" applyBorder="1" applyAlignment="1">
      <alignment vertical="top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32" borderId="13" xfId="0" applyFill="1" applyBorder="1" applyAlignment="1" applyProtection="1">
      <alignment vertical="top"/>
      <protection/>
    </xf>
    <xf numFmtId="164" fontId="0" fillId="32" borderId="14" xfId="0" applyNumberFormat="1" applyFill="1" applyBorder="1" applyAlignment="1" applyProtection="1">
      <alignment/>
      <protection/>
    </xf>
    <xf numFmtId="0" fontId="0" fillId="32" borderId="15" xfId="0" applyFill="1" applyBorder="1" applyAlignment="1" applyProtection="1">
      <alignment vertical="top"/>
      <protection/>
    </xf>
    <xf numFmtId="0" fontId="0" fillId="32" borderId="16" xfId="0" applyFill="1" applyBorder="1" applyAlignment="1" applyProtection="1">
      <alignment vertical="top"/>
      <protection/>
    </xf>
    <xf numFmtId="0" fontId="0" fillId="32" borderId="11" xfId="0" applyFill="1" applyBorder="1" applyAlignment="1" applyProtection="1">
      <alignment vertical="top"/>
      <protection/>
    </xf>
    <xf numFmtId="0" fontId="0" fillId="0" borderId="0" xfId="0" applyAlignment="1" applyProtection="1">
      <alignment horizontal="left"/>
      <protection/>
    </xf>
    <xf numFmtId="0" fontId="37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39" fillId="0" borderId="0" xfId="0" applyFont="1" applyAlignment="1" applyProtection="1">
      <alignment/>
      <protection/>
    </xf>
    <xf numFmtId="164" fontId="40" fillId="33" borderId="18" xfId="0" applyNumberFormat="1" applyFont="1" applyFill="1" applyBorder="1" applyAlignment="1" applyProtection="1">
      <alignment/>
      <protection locked="0"/>
    </xf>
    <xf numFmtId="164" fontId="0" fillId="33" borderId="18" xfId="0" applyNumberFormat="1" applyFill="1" applyBorder="1" applyAlignment="1" applyProtection="1">
      <alignment/>
      <protection locked="0"/>
    </xf>
    <xf numFmtId="0" fontId="0" fillId="0" borderId="0" xfId="0" applyAlignment="1" applyProtection="1">
      <alignment horizontal="left"/>
      <protection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applyProtection="1">
      <alignment horizontal="left"/>
      <protection/>
    </xf>
    <xf numFmtId="0" fontId="41" fillId="0" borderId="0" xfId="0" applyFont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41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42" fillId="0" borderId="0" xfId="0" applyFont="1" applyAlignment="1" applyProtection="1">
      <alignment/>
      <protection/>
    </xf>
    <xf numFmtId="0" fontId="43" fillId="0" borderId="0" xfId="0" applyFont="1" applyAlignment="1" applyProtection="1">
      <alignment/>
      <protection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41" fillId="0" borderId="0" xfId="0" applyFont="1" applyAlignment="1" applyProtection="1">
      <alignment/>
      <protection/>
    </xf>
    <xf numFmtId="0" fontId="0" fillId="0" borderId="0" xfId="0" applyAlignment="1">
      <alignment/>
    </xf>
    <xf numFmtId="0" fontId="0" fillId="0" borderId="0" xfId="0" applyFont="1" applyAlignment="1">
      <alignment/>
    </xf>
    <xf numFmtId="1" fontId="40" fillId="33" borderId="18" xfId="0" applyNumberFormat="1" applyFont="1" applyFill="1" applyBorder="1" applyAlignment="1" applyProtection="1">
      <alignment/>
      <protection locked="0"/>
    </xf>
    <xf numFmtId="1" fontId="0" fillId="32" borderId="14" xfId="0" applyNumberFormat="1" applyFill="1" applyBorder="1" applyAlignment="1">
      <alignment/>
    </xf>
    <xf numFmtId="0" fontId="0" fillId="0" borderId="0" xfId="0" applyAlignment="1" applyProtection="1">
      <alignment horizontal="left"/>
      <protection/>
    </xf>
    <xf numFmtId="0" fontId="41" fillId="0" borderId="0" xfId="0" applyFont="1" applyAlignment="1" applyProtection="1">
      <alignment horizontal="left"/>
      <protection/>
    </xf>
    <xf numFmtId="0" fontId="4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3" fontId="0" fillId="33" borderId="18" xfId="0" applyNumberFormat="1" applyFill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E7F4A6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7"/>
  <sheetViews>
    <sheetView tabSelected="1" zoomScalePageLayoutView="0" workbookViewId="0" topLeftCell="A1">
      <selection activeCell="B3" sqref="B3"/>
    </sheetView>
  </sheetViews>
  <sheetFormatPr defaultColWidth="9.140625" defaultRowHeight="24.75" customHeight="1"/>
  <cols>
    <col min="1" max="1" width="18.28125" style="0" customWidth="1"/>
    <col min="2" max="2" width="12.7109375" style="0" customWidth="1"/>
    <col min="3" max="3" width="7.7109375" style="0" customWidth="1"/>
    <col min="4" max="4" width="6.7109375" style="0" customWidth="1"/>
    <col min="5" max="5" width="11.140625" style="0" customWidth="1"/>
    <col min="6" max="6" width="10.140625" style="0" customWidth="1"/>
    <col min="7" max="8" width="7.7109375" style="0" customWidth="1"/>
    <col min="9" max="9" width="3.140625" style="0" customWidth="1"/>
    <col min="10" max="10" width="8.7109375" style="0" customWidth="1"/>
    <col min="11" max="11" width="3.140625" style="0" customWidth="1"/>
    <col min="12" max="12" width="8.7109375" style="0" customWidth="1"/>
    <col min="13" max="13" width="3.140625" style="0" customWidth="1"/>
    <col min="14" max="14" width="8.7109375" style="0" customWidth="1"/>
    <col min="15" max="15" width="3.140625" style="0" customWidth="1"/>
    <col min="16" max="16" width="8.7109375" style="0" customWidth="1"/>
    <col min="17" max="17" width="3.140625" style="0" customWidth="1"/>
    <col min="18" max="18" width="8.7109375" style="0" customWidth="1"/>
  </cols>
  <sheetData>
    <row r="1" spans="1:8" ht="24.75" customHeight="1" thickBot="1">
      <c r="A1" s="48" t="s">
        <v>98</v>
      </c>
      <c r="B1" s="48"/>
      <c r="C1" s="48"/>
      <c r="D1" s="48"/>
      <c r="E1" s="48"/>
      <c r="F1" s="48"/>
      <c r="G1" s="42"/>
      <c r="H1" s="36"/>
    </row>
    <row r="2" spans="5:18" ht="24.75" customHeight="1" thickBot="1">
      <c r="E2" s="36"/>
      <c r="F2" s="36"/>
      <c r="I2" s="16" t="s">
        <v>3</v>
      </c>
      <c r="J2" s="17">
        <f>$R$2+4000</f>
        <v>9699090</v>
      </c>
      <c r="K2" s="16" t="s">
        <v>11</v>
      </c>
      <c r="L2" s="17">
        <f>$R$2+3000</f>
        <v>9698090</v>
      </c>
      <c r="M2" s="16" t="s">
        <v>19</v>
      </c>
      <c r="N2" s="17">
        <f>$R$2+2000</f>
        <v>9697090</v>
      </c>
      <c r="O2" s="16" t="s">
        <v>27</v>
      </c>
      <c r="P2" s="17">
        <f>$R$2+1000</f>
        <v>9696090</v>
      </c>
      <c r="Q2" s="16" t="s">
        <v>88</v>
      </c>
      <c r="R2" s="17">
        <f>$F$8+MOD($B$3-$F$8,100)</f>
        <v>9695090</v>
      </c>
    </row>
    <row r="3" spans="1:18" ht="24.75" customHeight="1" thickBot="1">
      <c r="A3" s="27" t="s">
        <v>37</v>
      </c>
      <c r="B3" s="28">
        <v>9699690</v>
      </c>
      <c r="C3" s="3"/>
      <c r="E3" s="22" t="s">
        <v>0</v>
      </c>
      <c r="F3" s="23">
        <f>IF(ISBLANK($B$11),INT(($B$3-1)/(50*$B$9))+1,"")</f>
        <v>2</v>
      </c>
      <c r="H3" s="1"/>
      <c r="I3" s="16" t="s">
        <v>4</v>
      </c>
      <c r="J3" s="17">
        <f>$R$2+4100</f>
        <v>9699190</v>
      </c>
      <c r="K3" s="18" t="s">
        <v>12</v>
      </c>
      <c r="L3" s="17">
        <f>$R$2+3100</f>
        <v>9698190</v>
      </c>
      <c r="M3" s="18" t="s">
        <v>20</v>
      </c>
      <c r="N3" s="17">
        <f>$R$2+2100</f>
        <v>9697190</v>
      </c>
      <c r="O3" s="18" t="s">
        <v>28</v>
      </c>
      <c r="P3" s="17">
        <f>$R$2+1100</f>
        <v>9696190</v>
      </c>
      <c r="Q3" s="18" t="s">
        <v>89</v>
      </c>
      <c r="R3" s="17">
        <f>$R$2+100</f>
        <v>9695190</v>
      </c>
    </row>
    <row r="4" spans="5:18" ht="24.75" customHeight="1" thickBot="1">
      <c r="E4" s="22" t="s">
        <v>35</v>
      </c>
      <c r="F4" s="24">
        <f>IF(ISBLANK($B$11),($F$3-1)*50*$B$9+1,$B$11)</f>
        <v>6400001</v>
      </c>
      <c r="H4" s="1"/>
      <c r="I4" s="16" t="s">
        <v>5</v>
      </c>
      <c r="J4" s="17">
        <f>$R$2+4200</f>
        <v>9699290</v>
      </c>
      <c r="K4" s="18" t="s">
        <v>13</v>
      </c>
      <c r="L4" s="17">
        <f>$R$2+3200</f>
        <v>9698290</v>
      </c>
      <c r="M4" s="18" t="s">
        <v>21</v>
      </c>
      <c r="N4" s="17">
        <f>$R$2+2200</f>
        <v>9697290</v>
      </c>
      <c r="O4" s="18" t="s">
        <v>29</v>
      </c>
      <c r="P4" s="17">
        <f>$R$2+1200</f>
        <v>9696290</v>
      </c>
      <c r="Q4" s="18" t="s">
        <v>90</v>
      </c>
      <c r="R4" s="17">
        <f>$R$2+200</f>
        <v>9695290</v>
      </c>
    </row>
    <row r="5" spans="5:18" ht="24.75" customHeight="1" thickBot="1">
      <c r="E5" s="22" t="s">
        <v>36</v>
      </c>
      <c r="F5" s="24">
        <f>$F$4+50*$B$9-1</f>
        <v>12800000</v>
      </c>
      <c r="H5" s="1"/>
      <c r="I5" s="19" t="s">
        <v>6</v>
      </c>
      <c r="J5" s="17">
        <f>$R$2+4300</f>
        <v>9699390</v>
      </c>
      <c r="K5" s="20" t="s">
        <v>14</v>
      </c>
      <c r="L5" s="17">
        <f>$R$2+3300</f>
        <v>9698390</v>
      </c>
      <c r="M5" s="20" t="s">
        <v>22</v>
      </c>
      <c r="N5" s="17">
        <f>$R$2+2300</f>
        <v>9697390</v>
      </c>
      <c r="O5" s="20" t="s">
        <v>30</v>
      </c>
      <c r="P5" s="17">
        <f>$R$2+1300</f>
        <v>9696390</v>
      </c>
      <c r="Q5" s="20" t="s">
        <v>91</v>
      </c>
      <c r="R5" s="17">
        <f>$R$2+300</f>
        <v>9695390</v>
      </c>
    </row>
    <row r="6" spans="5:18" ht="24.75" customHeight="1" thickBot="1">
      <c r="E6" s="22" t="s">
        <v>1</v>
      </c>
      <c r="F6">
        <f>(($F$8-$F$4)/50)+MOD($B$3-$F$4,100)+1</f>
        <v>65990</v>
      </c>
      <c r="H6" s="1"/>
      <c r="I6" s="16" t="s">
        <v>7</v>
      </c>
      <c r="J6" s="17">
        <f>$R$2+4400</f>
        <v>9699490</v>
      </c>
      <c r="K6" s="18" t="s">
        <v>15</v>
      </c>
      <c r="L6" s="17">
        <f>$R$2+3400</f>
        <v>9698490</v>
      </c>
      <c r="M6" s="18" t="s">
        <v>23</v>
      </c>
      <c r="N6" s="17">
        <f>$R$2+2400</f>
        <v>9697490</v>
      </c>
      <c r="O6" s="18" t="s">
        <v>31</v>
      </c>
      <c r="P6" s="17">
        <f>$R$2+1400</f>
        <v>9696490</v>
      </c>
      <c r="Q6" s="18" t="s">
        <v>92</v>
      </c>
      <c r="R6" s="17">
        <f>$R$2+400</f>
        <v>9695490</v>
      </c>
    </row>
    <row r="7" spans="5:18" ht="24.75" customHeight="1" thickBot="1">
      <c r="E7" s="22" t="s">
        <v>79</v>
      </c>
      <c r="F7" s="25">
        <f>INT(($F$6-1)/100)+1</f>
        <v>660</v>
      </c>
      <c r="H7" s="1"/>
      <c r="I7" s="16" t="s">
        <v>8</v>
      </c>
      <c r="J7" s="17">
        <f>$R$2+4500</f>
        <v>9699590</v>
      </c>
      <c r="K7" s="18" t="s">
        <v>16</v>
      </c>
      <c r="L7" s="17">
        <f>$R$2+3500</f>
        <v>9698590</v>
      </c>
      <c r="M7" s="18" t="s">
        <v>24</v>
      </c>
      <c r="N7" s="17">
        <f>$R$2+2500</f>
        <v>9697590</v>
      </c>
      <c r="O7" s="18" t="s">
        <v>32</v>
      </c>
      <c r="P7" s="17">
        <f>$R$2+1500</f>
        <v>9696590</v>
      </c>
      <c r="Q7" s="18" t="s">
        <v>93</v>
      </c>
      <c r="R7" s="17">
        <f>$R$2+500</f>
        <v>9695590</v>
      </c>
    </row>
    <row r="8" spans="5:18" ht="24.75" customHeight="1" thickBot="1">
      <c r="E8" s="22" t="s">
        <v>67</v>
      </c>
      <c r="F8" s="24">
        <f>$F$4+INT(($B$3-$F$4)/5000)*5000</f>
        <v>9695001</v>
      </c>
      <c r="H8" s="1"/>
      <c r="I8" s="16" t="s">
        <v>9</v>
      </c>
      <c r="J8" s="17">
        <f>$R$2+4600</f>
        <v>9699690</v>
      </c>
      <c r="K8" s="18" t="s">
        <v>17</v>
      </c>
      <c r="L8" s="17">
        <f>$R$2+3600</f>
        <v>9698690</v>
      </c>
      <c r="M8" s="18" t="s">
        <v>25</v>
      </c>
      <c r="N8" s="17">
        <f>$R$2+2600</f>
        <v>9697690</v>
      </c>
      <c r="O8" s="18" t="s">
        <v>33</v>
      </c>
      <c r="P8" s="17">
        <f>$R$2+1600</f>
        <v>9696690</v>
      </c>
      <c r="Q8" s="18" t="s">
        <v>94</v>
      </c>
      <c r="R8" s="17">
        <f>$R$2+600</f>
        <v>9695690</v>
      </c>
    </row>
    <row r="9" spans="1:18" ht="24.75" customHeight="1" thickBot="1">
      <c r="A9" s="22" t="s">
        <v>38</v>
      </c>
      <c r="B9" s="52">
        <v>128000</v>
      </c>
      <c r="E9" s="22" t="s">
        <v>68</v>
      </c>
      <c r="F9" s="24">
        <f>$F$8+5000-1</f>
        <v>9700000</v>
      </c>
      <c r="G9" s="37"/>
      <c r="H9" s="1"/>
      <c r="I9" s="20" t="s">
        <v>10</v>
      </c>
      <c r="J9" s="17">
        <f>$R$2+4700</f>
        <v>9699790</v>
      </c>
      <c r="K9" s="20" t="s">
        <v>18</v>
      </c>
      <c r="L9" s="17">
        <f>$R$2+3700</f>
        <v>9698790</v>
      </c>
      <c r="M9" s="20" t="s">
        <v>26</v>
      </c>
      <c r="N9" s="17">
        <f>$R$2+2700</f>
        <v>9697790</v>
      </c>
      <c r="O9" s="20" t="s">
        <v>34</v>
      </c>
      <c r="P9" s="17">
        <f>$R$2+1700</f>
        <v>9696790</v>
      </c>
      <c r="Q9" s="20" t="s">
        <v>95</v>
      </c>
      <c r="R9" s="17">
        <f>$R$2+700</f>
        <v>9695790</v>
      </c>
    </row>
    <row r="10" spans="1:18" ht="24.75" customHeight="1" thickBot="1">
      <c r="A10" s="6"/>
      <c r="B10" s="7"/>
      <c r="C10" s="3"/>
      <c r="E10" s="22" t="s">
        <v>58</v>
      </c>
      <c r="F10" s="26" t="str">
        <f>LOOKUP(MOD($F$11-1,10)+1,{1,2,3,4,5,6,7,8,9,10},{"A","B","C","D","E","F","G","H","I","J"})&amp;(6-(INT(($F$11-1)/10)+1))</f>
        <v>G1</v>
      </c>
      <c r="H10" s="1"/>
      <c r="I10" s="16" t="s">
        <v>80</v>
      </c>
      <c r="J10" s="17">
        <f>$R$2+4800</f>
        <v>9699890</v>
      </c>
      <c r="K10" s="18" t="s">
        <v>82</v>
      </c>
      <c r="L10" s="17">
        <f>$R$2+3800</f>
        <v>9698890</v>
      </c>
      <c r="M10" s="18" t="s">
        <v>84</v>
      </c>
      <c r="N10" s="17">
        <f>$R$2+2800</f>
        <v>9697890</v>
      </c>
      <c r="O10" s="18" t="s">
        <v>86</v>
      </c>
      <c r="P10" s="17">
        <f>$R$2+1800</f>
        <v>9696890</v>
      </c>
      <c r="Q10" s="18" t="s">
        <v>96</v>
      </c>
      <c r="R10" s="17">
        <f>$R$2+800</f>
        <v>9695890</v>
      </c>
    </row>
    <row r="11" spans="1:18" ht="24.75" customHeight="1" thickBot="1">
      <c r="A11" s="22" t="s">
        <v>39</v>
      </c>
      <c r="B11" s="29"/>
      <c r="E11" s="38" t="s">
        <v>2</v>
      </c>
      <c r="F11" s="39">
        <f>INT(($B$3-$F$8)/100)+1</f>
        <v>47</v>
      </c>
      <c r="I11" s="16" t="s">
        <v>81</v>
      </c>
      <c r="J11" s="17">
        <f>$R$2+4900</f>
        <v>9699990</v>
      </c>
      <c r="K11" s="20" t="s">
        <v>83</v>
      </c>
      <c r="L11" s="17">
        <f>$R$2+3900</f>
        <v>9698990</v>
      </c>
      <c r="M11" s="20" t="s">
        <v>85</v>
      </c>
      <c r="N11" s="17">
        <f>$R$2+2900</f>
        <v>9697990</v>
      </c>
      <c r="O11" s="20" t="s">
        <v>87</v>
      </c>
      <c r="P11" s="17">
        <f>$R$2+1900</f>
        <v>9696990</v>
      </c>
      <c r="Q11" s="20" t="s">
        <v>97</v>
      </c>
      <c r="R11" s="17">
        <f>$R$2+900</f>
        <v>9695990</v>
      </c>
    </row>
    <row r="12" spans="3:17" ht="24.75" customHeight="1">
      <c r="C12" s="37"/>
      <c r="D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5"/>
    </row>
    <row r="13" spans="1:18" ht="16.5" customHeight="1">
      <c r="A13" s="47" t="s">
        <v>65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</row>
    <row r="14" spans="1:18" ht="16.5" customHeight="1">
      <c r="A14" s="47" t="s">
        <v>99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</row>
    <row r="15" spans="1:18" ht="16.5" customHeight="1">
      <c r="A15" s="47" t="s">
        <v>100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</row>
    <row r="16" spans="1:18" ht="16.5" customHeight="1">
      <c r="A16" s="47" t="s">
        <v>101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</row>
    <row r="17" spans="1:18" ht="16.5" customHeight="1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</row>
  </sheetData>
  <sheetProtection sheet="1" objects="1" scenarios="1" selectLockedCells="1"/>
  <mergeCells count="5">
    <mergeCell ref="A13:R13"/>
    <mergeCell ref="A14:R14"/>
    <mergeCell ref="A15:R15"/>
    <mergeCell ref="A16:R16"/>
    <mergeCell ref="A1:F1"/>
  </mergeCells>
  <conditionalFormatting sqref="I2:Q11">
    <cfRule type="expression" priority="10" dxfId="0">
      <formula>OR(I2=$B$3,J2=$B$3)</formula>
    </cfRule>
  </conditionalFormatting>
  <conditionalFormatting sqref="R2:R11">
    <cfRule type="expression" priority="11" dxfId="0">
      <formula>OR(R2=$B$3,S3=$B$3)</formula>
    </cfRule>
  </conditionalFormatting>
  <printOptions/>
  <pageMargins left="0.7" right="0.7" top="0.75" bottom="0.75" header="0.3" footer="0.3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7"/>
  <sheetViews>
    <sheetView zoomScalePageLayoutView="0" workbookViewId="0" topLeftCell="A1">
      <selection activeCell="B3" sqref="B3"/>
    </sheetView>
  </sheetViews>
  <sheetFormatPr defaultColWidth="9.140625" defaultRowHeight="24.75" customHeight="1"/>
  <cols>
    <col min="1" max="1" width="18.28125" style="0" customWidth="1"/>
    <col min="2" max="2" width="12.7109375" style="0" customWidth="1"/>
    <col min="3" max="3" width="7.7109375" style="0" customWidth="1"/>
    <col min="4" max="4" width="6.7109375" style="0" customWidth="1"/>
    <col min="5" max="5" width="11.140625" style="0" customWidth="1"/>
    <col min="6" max="6" width="10.140625" style="0" customWidth="1"/>
    <col min="7" max="8" width="7.7109375" style="0" customWidth="1"/>
    <col min="9" max="9" width="3.140625" style="0" customWidth="1"/>
    <col min="10" max="10" width="8.7109375" style="0" customWidth="1"/>
    <col min="11" max="11" width="3.140625" style="0" customWidth="1"/>
    <col min="12" max="12" width="8.7109375" style="0" customWidth="1"/>
    <col min="13" max="13" width="3.140625" style="0" customWidth="1"/>
    <col min="14" max="14" width="8.7109375" style="0" customWidth="1"/>
    <col min="15" max="15" width="3.140625" style="0" customWidth="1"/>
    <col min="16" max="16" width="8.7109375" style="0" customWidth="1"/>
  </cols>
  <sheetData>
    <row r="1" spans="1:8" ht="24.75" customHeight="1">
      <c r="A1" s="48" t="s">
        <v>69</v>
      </c>
      <c r="B1" s="48"/>
      <c r="C1" s="48"/>
      <c r="D1" s="48"/>
      <c r="E1" s="48"/>
      <c r="F1" s="48"/>
      <c r="G1" s="48"/>
      <c r="H1" s="48"/>
    </row>
    <row r="2" spans="5:16" ht="24.75" customHeight="1" thickBot="1">
      <c r="E2" s="34"/>
      <c r="F2" s="34"/>
      <c r="I2" s="2"/>
      <c r="J2" s="2"/>
      <c r="K2" s="2"/>
      <c r="L2" s="2"/>
      <c r="M2" s="2"/>
      <c r="N2" s="2"/>
      <c r="O2" s="2"/>
      <c r="P2" s="2"/>
    </row>
    <row r="3" spans="1:16" ht="24.75" customHeight="1" thickBot="1">
      <c r="A3" s="27" t="s">
        <v>37</v>
      </c>
      <c r="B3" s="28">
        <v>9699690</v>
      </c>
      <c r="C3" s="3"/>
      <c r="E3" s="22" t="s">
        <v>0</v>
      </c>
      <c r="F3" s="23">
        <f>IF(ISBLANK($B$11),INT(($B$3-1)/(32*$B$9))+1,"")</f>
        <v>2</v>
      </c>
      <c r="H3" s="1"/>
      <c r="I3" s="16" t="s">
        <v>3</v>
      </c>
      <c r="J3" s="17">
        <f>$P$3+2400</f>
        <v>9701690</v>
      </c>
      <c r="K3" s="16" t="s">
        <v>7</v>
      </c>
      <c r="L3" s="17">
        <f>$P$3+1600</f>
        <v>9700890</v>
      </c>
      <c r="M3" s="16" t="s">
        <v>19</v>
      </c>
      <c r="N3" s="17">
        <f>$P$3+800</f>
        <v>9700090</v>
      </c>
      <c r="O3" s="16" t="s">
        <v>23</v>
      </c>
      <c r="P3" s="17">
        <f>$F$8+MOD($B$3-$F$8,100)</f>
        <v>9699290</v>
      </c>
    </row>
    <row r="4" spans="5:16" ht="24.75" customHeight="1" thickBot="1">
      <c r="E4" s="22" t="s">
        <v>35</v>
      </c>
      <c r="F4" s="24">
        <f>IF(ISBLANK($B$11),($F$3-1)*32*$B$9+1,$B$11)</f>
        <v>6400001</v>
      </c>
      <c r="H4" s="1"/>
      <c r="I4" s="16" t="s">
        <v>4</v>
      </c>
      <c r="J4" s="17">
        <f>$P$3+2500</f>
        <v>9701790</v>
      </c>
      <c r="K4" s="18" t="s">
        <v>8</v>
      </c>
      <c r="L4" s="17">
        <f>$P$3+1700</f>
        <v>9700990</v>
      </c>
      <c r="M4" s="18" t="s">
        <v>20</v>
      </c>
      <c r="N4" s="17">
        <f>$P$3+900</f>
        <v>9700190</v>
      </c>
      <c r="O4" s="18" t="s">
        <v>24</v>
      </c>
      <c r="P4" s="17">
        <f>$P$3+100</f>
        <v>9699390</v>
      </c>
    </row>
    <row r="5" spans="5:16" ht="24.75" customHeight="1" thickBot="1">
      <c r="E5" s="22" t="s">
        <v>36</v>
      </c>
      <c r="F5" s="24">
        <f>$F$4+32*$B$9-1</f>
        <v>12800000</v>
      </c>
      <c r="H5" s="1"/>
      <c r="I5" s="16" t="s">
        <v>5</v>
      </c>
      <c r="J5" s="17">
        <f>$P$3+2600</f>
        <v>9701890</v>
      </c>
      <c r="K5" s="18" t="s">
        <v>9</v>
      </c>
      <c r="L5" s="17">
        <f>$P$3+1800</f>
        <v>9701090</v>
      </c>
      <c r="M5" s="18" t="s">
        <v>21</v>
      </c>
      <c r="N5" s="17">
        <f>$P$3+1000</f>
        <v>9700290</v>
      </c>
      <c r="O5" s="18" t="s">
        <v>25</v>
      </c>
      <c r="P5" s="17">
        <f>$P$3+200</f>
        <v>9699490</v>
      </c>
    </row>
    <row r="6" spans="5:16" ht="24.75" customHeight="1" thickBot="1">
      <c r="E6" s="22" t="s">
        <v>1</v>
      </c>
      <c r="F6">
        <f>(($F$8-$F$4)/32)+MOD($B$3-$F$4,100)+1</f>
        <v>103190</v>
      </c>
      <c r="H6" s="1"/>
      <c r="I6" s="19" t="s">
        <v>6</v>
      </c>
      <c r="J6" s="17">
        <f>$P$3+2700</f>
        <v>9701990</v>
      </c>
      <c r="K6" s="20" t="s">
        <v>10</v>
      </c>
      <c r="L6" s="17">
        <f>$P$3+1900</f>
        <v>9701190</v>
      </c>
      <c r="M6" s="20" t="s">
        <v>22</v>
      </c>
      <c r="N6" s="17">
        <f>$P$3+1100</f>
        <v>9700390</v>
      </c>
      <c r="O6" s="20" t="s">
        <v>26</v>
      </c>
      <c r="P6" s="17">
        <f>$P$3+300</f>
        <v>9699590</v>
      </c>
    </row>
    <row r="7" spans="5:16" ht="24.75" customHeight="1" thickBot="1">
      <c r="E7" s="22" t="s">
        <v>79</v>
      </c>
      <c r="F7" s="25">
        <f>INT(($F$6-1)/100)+1</f>
        <v>1032</v>
      </c>
      <c r="H7" s="1"/>
      <c r="I7" s="16" t="s">
        <v>11</v>
      </c>
      <c r="J7" s="17">
        <f>$P$3+2800</f>
        <v>9702090</v>
      </c>
      <c r="K7" s="18" t="s">
        <v>15</v>
      </c>
      <c r="L7" s="17">
        <f>$P$3+2000</f>
        <v>9701290</v>
      </c>
      <c r="M7" s="18" t="s">
        <v>27</v>
      </c>
      <c r="N7" s="17">
        <f>$P$3+1200</f>
        <v>9700490</v>
      </c>
      <c r="O7" s="18" t="s">
        <v>31</v>
      </c>
      <c r="P7" s="17">
        <f>$P$3+400</f>
        <v>9699690</v>
      </c>
    </row>
    <row r="8" spans="5:16" ht="24.75" customHeight="1" thickBot="1">
      <c r="E8" s="22" t="s">
        <v>67</v>
      </c>
      <c r="F8" s="24">
        <f>$F$4+INT(($B$3-$F$4)/3200)*3200</f>
        <v>9699201</v>
      </c>
      <c r="H8" s="1"/>
      <c r="I8" s="16" t="s">
        <v>12</v>
      </c>
      <c r="J8" s="17">
        <f>$P$3+2900</f>
        <v>9702190</v>
      </c>
      <c r="K8" s="18" t="s">
        <v>16</v>
      </c>
      <c r="L8" s="17">
        <f>$P$3+2100</f>
        <v>9701390</v>
      </c>
      <c r="M8" s="18" t="s">
        <v>28</v>
      </c>
      <c r="N8" s="17">
        <f>$P$3+1300</f>
        <v>9700590</v>
      </c>
      <c r="O8" s="18" t="s">
        <v>32</v>
      </c>
      <c r="P8" s="17">
        <f>$P$3+500</f>
        <v>9699790</v>
      </c>
    </row>
    <row r="9" spans="1:16" ht="24.75" customHeight="1" thickBot="1">
      <c r="A9" s="22" t="s">
        <v>38</v>
      </c>
      <c r="B9" s="52">
        <v>200000</v>
      </c>
      <c r="E9" s="22" t="s">
        <v>68</v>
      </c>
      <c r="F9" s="24">
        <f>$F$8+3200-1</f>
        <v>9702400</v>
      </c>
      <c r="G9" s="30"/>
      <c r="H9" s="1"/>
      <c r="I9" s="16" t="s">
        <v>13</v>
      </c>
      <c r="J9" s="17">
        <f>$P$3+3000</f>
        <v>9702290</v>
      </c>
      <c r="K9" s="18" t="s">
        <v>17</v>
      </c>
      <c r="L9" s="17">
        <f>$P$3+2200</f>
        <v>9701490</v>
      </c>
      <c r="M9" s="18" t="s">
        <v>29</v>
      </c>
      <c r="N9" s="17">
        <f>$P$3+1400</f>
        <v>9700690</v>
      </c>
      <c r="O9" s="18" t="s">
        <v>33</v>
      </c>
      <c r="P9" s="17">
        <f>$P$3+600</f>
        <v>9699890</v>
      </c>
    </row>
    <row r="10" spans="1:16" ht="24.75" customHeight="1" thickBot="1">
      <c r="A10" s="6"/>
      <c r="B10" s="7"/>
      <c r="C10" s="3"/>
      <c r="E10" s="22" t="s">
        <v>58</v>
      </c>
      <c r="F10" s="26" t="str">
        <f>LOOKUP($F$11,{1,2,3,4,5,6,7,8,9,10,11,12,13,14,15,16,17,18,19,20,21,22,23,24,25,26,27,28,29,30,31,32},{"E3","F3","G3","H3","E4","F4","G4","H4","A3","B3","C3","D3","A4","B4","C4","D4","E1","F1","G1","H1","E2","F2","G2","H2","A1","B1","C1","D1","A2","B2","C2","D2"})</f>
        <v>E4</v>
      </c>
      <c r="H10" s="1"/>
      <c r="I10" s="20" t="s">
        <v>14</v>
      </c>
      <c r="J10" s="17">
        <f>$P$3+3100</f>
        <v>9702390</v>
      </c>
      <c r="K10" s="20" t="s">
        <v>18</v>
      </c>
      <c r="L10" s="17">
        <f>$P$3+2300</f>
        <v>9701590</v>
      </c>
      <c r="M10" s="20" t="s">
        <v>30</v>
      </c>
      <c r="N10" s="17">
        <f>$P$3+1500</f>
        <v>9700790</v>
      </c>
      <c r="O10" s="20" t="s">
        <v>34</v>
      </c>
      <c r="P10" s="17">
        <f>$P$3+700</f>
        <v>9699990</v>
      </c>
    </row>
    <row r="11" spans="1:6" ht="24.75" customHeight="1">
      <c r="A11" s="22" t="s">
        <v>39</v>
      </c>
      <c r="B11" s="29"/>
      <c r="E11" s="38" t="s">
        <v>2</v>
      </c>
      <c r="F11" s="39">
        <f>INT(($B$3-$F$8)/100)+1</f>
        <v>5</v>
      </c>
    </row>
    <row r="12" spans="3:16" ht="24.75" customHeight="1">
      <c r="C12" s="33"/>
      <c r="D12" s="33"/>
      <c r="G12" s="33"/>
      <c r="H12" s="33"/>
      <c r="I12" s="33"/>
      <c r="J12" s="33"/>
      <c r="K12" s="33"/>
      <c r="L12" s="33"/>
      <c r="M12" s="33"/>
      <c r="N12" s="33"/>
      <c r="O12" s="33"/>
      <c r="P12" s="33"/>
    </row>
    <row r="13" spans="1:17" ht="16.5" customHeight="1">
      <c r="A13" s="47" t="s">
        <v>65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35"/>
    </row>
    <row r="14" spans="1:17" ht="16.5" customHeight="1">
      <c r="A14" s="47" t="s">
        <v>61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35"/>
    </row>
    <row r="15" spans="1:17" ht="16.5" customHeight="1">
      <c r="A15" s="47" t="s">
        <v>100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35"/>
    </row>
    <row r="16" spans="1:16" ht="16.5" customHeight="1">
      <c r="A16" s="47" t="s">
        <v>101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</row>
    <row r="17" spans="1:16" ht="16.5" customHeight="1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</row>
  </sheetData>
  <sheetProtection sheet="1" objects="1" scenarios="1" selectLockedCells="1"/>
  <mergeCells count="5">
    <mergeCell ref="A1:H1"/>
    <mergeCell ref="A13:P13"/>
    <mergeCell ref="A14:P14"/>
    <mergeCell ref="A15:P15"/>
    <mergeCell ref="A16:P16"/>
  </mergeCells>
  <conditionalFormatting sqref="I3:P10">
    <cfRule type="expression" priority="2" dxfId="0">
      <formula>OR(I3=$B$3,J3=$B$3)</formula>
    </cfRule>
  </conditionalFormatting>
  <printOptions/>
  <pageMargins left="0.7" right="0.7" top="0.75" bottom="0.75" header="0.3" footer="0.3"/>
  <pageSetup horizontalDpi="200" verticalDpi="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6"/>
  <sheetViews>
    <sheetView zoomScalePageLayoutView="0" workbookViewId="0" topLeftCell="A1">
      <selection activeCell="B3" sqref="B3"/>
    </sheetView>
  </sheetViews>
  <sheetFormatPr defaultColWidth="9.140625" defaultRowHeight="24.75" customHeight="1"/>
  <cols>
    <col min="1" max="1" width="18.28125" style="0" customWidth="1"/>
    <col min="2" max="2" width="12.7109375" style="0" customWidth="1"/>
    <col min="3" max="4" width="7.7109375" style="0" customWidth="1"/>
    <col min="5" max="6" width="10.140625" style="0" customWidth="1"/>
    <col min="7" max="8" width="7.7109375" style="0" customWidth="1"/>
    <col min="9" max="9" width="3.140625" style="0" customWidth="1"/>
    <col min="10" max="10" width="8.7109375" style="0" customWidth="1"/>
    <col min="11" max="11" width="3.140625" style="0" customWidth="1"/>
    <col min="12" max="12" width="8.7109375" style="0" customWidth="1"/>
    <col min="13" max="13" width="0.42578125" style="0" customWidth="1"/>
    <col min="14" max="14" width="3.140625" style="0" customWidth="1"/>
    <col min="15" max="15" width="8.7109375" style="0" customWidth="1"/>
    <col min="16" max="16" width="3.140625" style="0" customWidth="1"/>
    <col min="17" max="17" width="8.7109375" style="0" customWidth="1"/>
  </cols>
  <sheetData>
    <row r="1" spans="1:6" ht="24.75" customHeight="1">
      <c r="A1" s="48" t="s">
        <v>59</v>
      </c>
      <c r="B1" s="48"/>
      <c r="C1" s="48"/>
      <c r="D1" s="48"/>
      <c r="E1" s="48"/>
      <c r="F1" s="48"/>
    </row>
    <row r="2" spans="9:17" ht="24.75" customHeight="1" thickBot="1">
      <c r="I2" s="2"/>
      <c r="J2" s="2"/>
      <c r="K2" s="2"/>
      <c r="L2" s="2"/>
      <c r="M2" s="14"/>
      <c r="N2" s="2"/>
      <c r="O2" s="2"/>
      <c r="P2" s="2"/>
      <c r="Q2" s="2"/>
    </row>
    <row r="3" spans="1:17" ht="24.75" customHeight="1" thickBot="1">
      <c r="A3" s="27" t="s">
        <v>37</v>
      </c>
      <c r="B3" s="28">
        <v>9699690</v>
      </c>
      <c r="C3" s="3"/>
      <c r="E3" s="22" t="s">
        <v>0</v>
      </c>
      <c r="F3" s="23">
        <f>IF(ISBLANK($B$10),INT(($B$3-1)/(32*$B$8))+1,"")</f>
        <v>2</v>
      </c>
      <c r="H3" s="1"/>
      <c r="I3" s="16" t="s">
        <v>3</v>
      </c>
      <c r="J3" s="17">
        <f>$F$4-1+$F$7</f>
        <v>6499690</v>
      </c>
      <c r="K3" s="16" t="s">
        <v>7</v>
      </c>
      <c r="L3" s="17">
        <f>$F$4-1+$F$7+$B$8*4</f>
        <v>7299690</v>
      </c>
      <c r="M3" s="15"/>
      <c r="N3" s="16" t="s">
        <v>19</v>
      </c>
      <c r="O3" s="17">
        <f>$F$4-1+$F$7+$B$8*16</f>
        <v>9699690</v>
      </c>
      <c r="P3" s="16" t="s">
        <v>23</v>
      </c>
      <c r="Q3" s="17">
        <f>$F$4-1+$F$7+$B$8*20</f>
        <v>10499690</v>
      </c>
    </row>
    <row r="4" spans="5:17" ht="24.75" customHeight="1" thickBot="1">
      <c r="E4" s="22" t="s">
        <v>35</v>
      </c>
      <c r="F4" s="24">
        <f>IF(ISBLANK($B$10),($F$3-1)*32*$B$8+1,$B$10)</f>
        <v>6400001</v>
      </c>
      <c r="H4" s="1"/>
      <c r="I4" s="16" t="s">
        <v>4</v>
      </c>
      <c r="J4" s="17">
        <f>$F$4-1+$F$7+$B$8*1</f>
        <v>6699690</v>
      </c>
      <c r="K4" s="18" t="s">
        <v>8</v>
      </c>
      <c r="L4" s="17">
        <f>$F$4-1+$F$7+$B$8*5</f>
        <v>7499690</v>
      </c>
      <c r="M4" s="15"/>
      <c r="N4" s="18" t="s">
        <v>20</v>
      </c>
      <c r="O4" s="17">
        <f>$F$4-1+$F$7+$B$8*17</f>
        <v>9899690</v>
      </c>
      <c r="P4" s="18" t="s">
        <v>24</v>
      </c>
      <c r="Q4" s="17">
        <f>$F$4-1+$F$7+$B$8*21</f>
        <v>10699690</v>
      </c>
    </row>
    <row r="5" spans="5:17" ht="24.75" customHeight="1" thickBot="1">
      <c r="E5" s="22" t="s">
        <v>36</v>
      </c>
      <c r="F5" s="24">
        <f>$F$4+32*$B$8-1</f>
        <v>12800000</v>
      </c>
      <c r="H5" s="1"/>
      <c r="I5" s="16" t="s">
        <v>5</v>
      </c>
      <c r="J5" s="17">
        <f>$F$4-1+$F$7+$B$8*2</f>
        <v>6899690</v>
      </c>
      <c r="K5" s="18" t="s">
        <v>9</v>
      </c>
      <c r="L5" s="17">
        <f>$F$4-1+$F$7+$B$8*6</f>
        <v>7699690</v>
      </c>
      <c r="M5" s="15"/>
      <c r="N5" s="18" t="s">
        <v>21</v>
      </c>
      <c r="O5" s="17">
        <f>$F$4-1+$F$7+$B$8*18</f>
        <v>10099690</v>
      </c>
      <c r="P5" s="18" t="s">
        <v>25</v>
      </c>
      <c r="Q5" s="17">
        <f>$F$4-1+$F$7+$B$8*22</f>
        <v>10899690</v>
      </c>
    </row>
    <row r="6" spans="8:17" ht="24.75" customHeight="1" thickBot="1">
      <c r="H6" s="1"/>
      <c r="I6" s="19" t="s">
        <v>6</v>
      </c>
      <c r="J6" s="17">
        <f>$F$4-1+$F$7+$B$8*3</f>
        <v>7099690</v>
      </c>
      <c r="K6" s="20" t="s">
        <v>10</v>
      </c>
      <c r="L6" s="17">
        <f>$F$4-1+$F$7+$B$8*7</f>
        <v>7899690</v>
      </c>
      <c r="M6" s="15"/>
      <c r="N6" s="20" t="s">
        <v>22</v>
      </c>
      <c r="O6" s="17">
        <f>$F$4-1+$F$7+$B$8*19</f>
        <v>10299690</v>
      </c>
      <c r="P6" s="20" t="s">
        <v>26</v>
      </c>
      <c r="Q6" s="17">
        <f>$F$4-1+$F$7+$B$8*23</f>
        <v>11099690</v>
      </c>
    </row>
    <row r="7" spans="5:17" ht="24.75" customHeight="1" thickBot="1">
      <c r="E7" s="22" t="s">
        <v>1</v>
      </c>
      <c r="F7" s="25">
        <f>MOD($B$3-$F$4,$B$8)+1</f>
        <v>99690</v>
      </c>
      <c r="H7" s="1"/>
      <c r="I7" s="16" t="s">
        <v>11</v>
      </c>
      <c r="J7" s="17">
        <f>$F$4-1+$F$7+$B$8*8</f>
        <v>8099690</v>
      </c>
      <c r="K7" s="18" t="s">
        <v>15</v>
      </c>
      <c r="L7" s="17">
        <f>$F$4-1+$F$7+$B$8*12</f>
        <v>8899690</v>
      </c>
      <c r="M7" s="15"/>
      <c r="N7" s="18" t="s">
        <v>27</v>
      </c>
      <c r="O7" s="17">
        <f>$F$4-1+$F$7+$B$8*24</f>
        <v>11299690</v>
      </c>
      <c r="P7" s="18" t="s">
        <v>31</v>
      </c>
      <c r="Q7" s="17">
        <f>$F$4-1+$F$7+$B$8*28</f>
        <v>12099690</v>
      </c>
    </row>
    <row r="8" spans="1:17" ht="24.75" customHeight="1" thickBot="1">
      <c r="A8" s="22" t="s">
        <v>38</v>
      </c>
      <c r="B8" s="52">
        <v>200000</v>
      </c>
      <c r="H8" s="1"/>
      <c r="I8" s="16" t="s">
        <v>12</v>
      </c>
      <c r="J8" s="17">
        <f>$F$4-1+$F$7+$B$8*9</f>
        <v>8299690</v>
      </c>
      <c r="K8" s="18" t="s">
        <v>16</v>
      </c>
      <c r="L8" s="17">
        <f>$F$4-1+$F$7+$B$8*13</f>
        <v>9099690</v>
      </c>
      <c r="M8" s="15"/>
      <c r="N8" s="18" t="s">
        <v>28</v>
      </c>
      <c r="O8" s="17">
        <f>$F$4-1+$F$7+$B$8*25</f>
        <v>11499690</v>
      </c>
      <c r="P8" s="18" t="s">
        <v>32</v>
      </c>
      <c r="Q8" s="17">
        <f>$F$4-1+$F$7+$B$8*29</f>
        <v>12299690</v>
      </c>
    </row>
    <row r="9" spans="1:17" ht="24.75" customHeight="1" thickBot="1">
      <c r="A9" s="6"/>
      <c r="B9" s="7"/>
      <c r="E9" s="22" t="s">
        <v>58</v>
      </c>
      <c r="F9" s="26" t="str">
        <f>LOOKUP(MOD($F$10-1,8)+1,{1,2,3,4,5,6,7,8},{"A","B","C","D","E","F","G","H"})&amp;(INT(($F$10-1)/8)+1)</f>
        <v>A3</v>
      </c>
      <c r="G9" s="21" t="str">
        <f>"(or "&amp;LOOKUP(MOD($F$10-1,8)+1,{1,2,3,4,5,6,7,8},{"A","B","C","D","E","F","G","H"})&amp;(MOD(INT(($F$10+15)/8),4)+1)&amp;")"</f>
        <v>(or A1)</v>
      </c>
      <c r="H9" s="1"/>
      <c r="I9" s="16" t="s">
        <v>13</v>
      </c>
      <c r="J9" s="17">
        <f>$F$4-1+$F$7+$B$8*10</f>
        <v>8499690</v>
      </c>
      <c r="K9" s="18" t="s">
        <v>17</v>
      </c>
      <c r="L9" s="17">
        <f>$F$4-1+$F$7+$B$8*14</f>
        <v>9299690</v>
      </c>
      <c r="M9" s="15"/>
      <c r="N9" s="18" t="s">
        <v>29</v>
      </c>
      <c r="O9" s="17">
        <f>$F$4-1+$F$7+$B$8*26</f>
        <v>11699690</v>
      </c>
      <c r="P9" s="18" t="s">
        <v>33</v>
      </c>
      <c r="Q9" s="17">
        <f>$F$4-1+$F$7+$B$8*30</f>
        <v>12499690</v>
      </c>
    </row>
    <row r="10" spans="1:17" ht="24.75" customHeight="1" thickBot="1">
      <c r="A10" s="22" t="s">
        <v>39</v>
      </c>
      <c r="B10" s="29"/>
      <c r="C10" s="3"/>
      <c r="E10" s="38" t="s">
        <v>2</v>
      </c>
      <c r="F10" s="39">
        <f>INT(($B$3-$F$4)/$B$8)+1</f>
        <v>17</v>
      </c>
      <c r="H10" s="1"/>
      <c r="I10" s="20" t="s">
        <v>14</v>
      </c>
      <c r="J10" s="17">
        <f>$F$4-1+$F$7+$B$8*11</f>
        <v>8699690</v>
      </c>
      <c r="K10" s="20" t="s">
        <v>18</v>
      </c>
      <c r="L10" s="17">
        <f>$F$4-1+$F$7+$B$8*15</f>
        <v>9499690</v>
      </c>
      <c r="M10" s="15"/>
      <c r="N10" s="20" t="s">
        <v>30</v>
      </c>
      <c r="O10" s="17">
        <f>$F$4-1+$F$7+$B$8*27</f>
        <v>11899690</v>
      </c>
      <c r="P10" s="20" t="s">
        <v>34</v>
      </c>
      <c r="Q10" s="17">
        <f>$F$4-1+$F$7+$B$8*31</f>
        <v>12699690</v>
      </c>
    </row>
    <row r="12" spans="1:17" ht="16.5" customHeight="1">
      <c r="A12" s="47" t="s">
        <v>65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</row>
    <row r="13" spans="1:17" ht="16.5" customHeight="1">
      <c r="A13" s="47" t="s">
        <v>61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</row>
    <row r="14" spans="1:17" ht="16.5" customHeight="1">
      <c r="A14" s="47" t="s">
        <v>62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</row>
    <row r="15" spans="1:17" ht="16.5" customHeight="1">
      <c r="A15" s="47" t="s">
        <v>63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</row>
    <row r="16" spans="1:17" ht="16.5" customHeight="1">
      <c r="A16" s="47" t="s">
        <v>64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</row>
  </sheetData>
  <sheetProtection sheet="1" objects="1" scenarios="1" selectLockedCells="1"/>
  <mergeCells count="6">
    <mergeCell ref="A16:Q16"/>
    <mergeCell ref="A1:F1"/>
    <mergeCell ref="A12:Q12"/>
    <mergeCell ref="A13:Q13"/>
    <mergeCell ref="A15:Q15"/>
    <mergeCell ref="A14:Q14"/>
  </mergeCells>
  <conditionalFormatting sqref="I3:L10 N3:Q10">
    <cfRule type="expression" priority="1" dxfId="5">
      <formula>OR(I3=$B$3+16*$B$8,J3=$B$3+16*$B$8,I3=$B$3-16*$B$8,J3=$B$3-16*$B$8)</formula>
    </cfRule>
    <cfRule type="expression" priority="2" dxfId="0">
      <formula>OR(I3=$B$3,J3=$B$3)</formula>
    </cfRule>
  </conditionalFormatting>
  <printOptions/>
  <pageMargins left="0.7" right="0.7" top="0.75" bottom="0.75" header="0.3" footer="0.3"/>
  <pageSetup horizontalDpi="200" verticalDpi="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1"/>
  <sheetViews>
    <sheetView zoomScalePageLayoutView="0" workbookViewId="0" topLeftCell="A1">
      <selection activeCell="B3" sqref="B3"/>
    </sheetView>
  </sheetViews>
  <sheetFormatPr defaultColWidth="9.140625" defaultRowHeight="24.75" customHeight="1"/>
  <cols>
    <col min="1" max="1" width="18.28125" style="0" customWidth="1"/>
    <col min="2" max="2" width="12.7109375" style="0" bestFit="1" customWidth="1"/>
    <col min="3" max="4" width="7.7109375" style="0" customWidth="1"/>
    <col min="5" max="6" width="10.140625" style="0" customWidth="1"/>
    <col min="7" max="8" width="7.7109375" style="0" customWidth="1"/>
    <col min="9" max="9" width="3.140625" style="0" customWidth="1"/>
    <col min="10" max="10" width="8.7109375" style="0" customWidth="1"/>
    <col min="11" max="11" width="3.140625" style="0" customWidth="1"/>
    <col min="12" max="12" width="8.7109375" style="0" customWidth="1"/>
    <col min="13" max="13" width="3.140625" style="0" customWidth="1"/>
    <col min="14" max="14" width="8.7109375" style="0" customWidth="1"/>
  </cols>
  <sheetData>
    <row r="1" spans="1:6" ht="24.75" customHeight="1">
      <c r="A1" s="49" t="s">
        <v>60</v>
      </c>
      <c r="B1" s="50"/>
      <c r="C1" s="50"/>
      <c r="D1" s="50"/>
      <c r="E1" s="50"/>
      <c r="F1" s="50"/>
    </row>
    <row r="2" spans="9:14" ht="24.75" customHeight="1" thickBot="1">
      <c r="I2" s="2"/>
      <c r="J2" s="2"/>
      <c r="K2" s="2"/>
      <c r="L2" s="2"/>
      <c r="M2" s="2"/>
      <c r="N2" s="2"/>
    </row>
    <row r="3" spans="1:14" ht="24.75" customHeight="1" thickBot="1">
      <c r="A3" s="8" t="s">
        <v>37</v>
      </c>
      <c r="B3" s="28">
        <v>9699690</v>
      </c>
      <c r="C3" s="3"/>
      <c r="E3" s="6" t="s">
        <v>0</v>
      </c>
      <c r="F3">
        <f>INT(($B$3-1)/(18*$B$8))+1</f>
        <v>27</v>
      </c>
      <c r="H3" s="1"/>
      <c r="I3" s="9" t="s">
        <v>40</v>
      </c>
      <c r="J3" s="10">
        <f>$F$4-1+$F$7</f>
        <v>9379690</v>
      </c>
      <c r="K3" s="9" t="s">
        <v>46</v>
      </c>
      <c r="L3" s="10">
        <f>$F$4-1+$F$7+$B$8*6</f>
        <v>9499690</v>
      </c>
      <c r="M3" s="9" t="s">
        <v>52</v>
      </c>
      <c r="N3" s="10">
        <f>$F$4-1+$F$7+$B$8*12</f>
        <v>9619690</v>
      </c>
    </row>
    <row r="4" spans="5:14" ht="24.75" customHeight="1" thickBot="1">
      <c r="E4" s="6" t="s">
        <v>35</v>
      </c>
      <c r="F4" s="3">
        <f>($F$3-1)*18*$B$8+1</f>
        <v>9360001</v>
      </c>
      <c r="H4" s="1"/>
      <c r="I4" s="9" t="s">
        <v>41</v>
      </c>
      <c r="J4" s="10">
        <f>$F$4-1+$F$7+$B$8*1</f>
        <v>9399690</v>
      </c>
      <c r="K4" s="11" t="s">
        <v>47</v>
      </c>
      <c r="L4" s="10">
        <f>$F$4-1+$F$7+$B$8*7</f>
        <v>9519690</v>
      </c>
      <c r="M4" s="11" t="s">
        <v>53</v>
      </c>
      <c r="N4" s="10">
        <f>$F$4-1+$F$7+$B$8*13</f>
        <v>9639690</v>
      </c>
    </row>
    <row r="5" spans="5:14" ht="24.75" customHeight="1" thickBot="1">
      <c r="E5" s="6" t="s">
        <v>36</v>
      </c>
      <c r="F5" s="3">
        <f>$F$4+18*$B$8-1</f>
        <v>9720000</v>
      </c>
      <c r="H5" s="1"/>
      <c r="I5" s="9" t="s">
        <v>42</v>
      </c>
      <c r="J5" s="10">
        <f>$F$4-1+$F$7+$B$8*2</f>
        <v>9419690</v>
      </c>
      <c r="K5" s="11" t="s">
        <v>48</v>
      </c>
      <c r="L5" s="10">
        <f>$F$4-1+$F$7+$B$8*8</f>
        <v>9539690</v>
      </c>
      <c r="M5" s="11" t="s">
        <v>54</v>
      </c>
      <c r="N5" s="10">
        <f>$F$4-1+$F$7+$B$8*14</f>
        <v>9659690</v>
      </c>
    </row>
    <row r="6" spans="8:14" ht="24.75" customHeight="1" thickBot="1">
      <c r="H6" s="1"/>
      <c r="I6" s="12" t="s">
        <v>43</v>
      </c>
      <c r="J6" s="10">
        <f>$F$4-1+$F$7+$B$8*3</f>
        <v>9439690</v>
      </c>
      <c r="K6" s="13" t="s">
        <v>49</v>
      </c>
      <c r="L6" s="10">
        <f>$F$4-1+$F$7+$B$8*9</f>
        <v>9559690</v>
      </c>
      <c r="M6" s="13" t="s">
        <v>55</v>
      </c>
      <c r="N6" s="10">
        <f>$F$4-1+$F$7+$B$8*15</f>
        <v>9679690</v>
      </c>
    </row>
    <row r="7" spans="5:14" ht="24.75" customHeight="1" thickBot="1">
      <c r="E7" s="6" t="s">
        <v>1</v>
      </c>
      <c r="F7" s="5">
        <f>MOD($B$3-$F$4,$B$8)+1</f>
        <v>19690</v>
      </c>
      <c r="H7" s="1"/>
      <c r="I7" s="9" t="s">
        <v>44</v>
      </c>
      <c r="J7" s="10">
        <f>$F$4-1+$F$7+$B$8*4</f>
        <v>9459690</v>
      </c>
      <c r="K7" s="11" t="s">
        <v>50</v>
      </c>
      <c r="L7" s="10">
        <f>$F$4-1+$F$7+$B$8*10</f>
        <v>9579690</v>
      </c>
      <c r="M7" s="11" t="s">
        <v>56</v>
      </c>
      <c r="N7" s="10">
        <f>$F$4-1+$F$7+$B$8*16</f>
        <v>9699690</v>
      </c>
    </row>
    <row r="8" spans="1:14" ht="24.75" customHeight="1" thickBot="1">
      <c r="A8" s="6" t="s">
        <v>38</v>
      </c>
      <c r="B8" s="52">
        <v>20000</v>
      </c>
      <c r="E8" s="6" t="s">
        <v>58</v>
      </c>
      <c r="F8" s="4" t="str">
        <f>LOOKUP(INT(($B$3-$F$4)/$B$8)+1,{1,2,3,4,5,6,7,8,9,10,11,12,13,14,15,16,17,18},{"A","B","C","D","E","F","G","H","I","J","K","L","M","N","O","P","Q","R"})</f>
        <v>Q</v>
      </c>
      <c r="H8" s="1"/>
      <c r="I8" s="9" t="s">
        <v>45</v>
      </c>
      <c r="J8" s="10">
        <f>$F$4-1+$F$7+$B$8*5</f>
        <v>9479690</v>
      </c>
      <c r="K8" s="11" t="s">
        <v>51</v>
      </c>
      <c r="L8" s="10">
        <f>$F$4-1+$F$7+$B$8*11</f>
        <v>9599690</v>
      </c>
      <c r="M8" s="11" t="s">
        <v>57</v>
      </c>
      <c r="N8" s="10">
        <f>$F$4-1+$F$7+$B$8*17</f>
        <v>9719690</v>
      </c>
    </row>
    <row r="9" spans="1:8" ht="24.75" customHeight="1">
      <c r="A9" s="6"/>
      <c r="B9" s="7"/>
      <c r="H9" s="14"/>
    </row>
    <row r="10" spans="1:14" ht="16.5" customHeight="1">
      <c r="A10" s="51" t="s">
        <v>65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</row>
    <row r="11" spans="1:14" ht="16.5" customHeight="1">
      <c r="A11" s="50" t="s">
        <v>66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</row>
  </sheetData>
  <sheetProtection sheet="1" objects="1" scenarios="1" selectLockedCells="1"/>
  <mergeCells count="3">
    <mergeCell ref="A1:F1"/>
    <mergeCell ref="A10:N10"/>
    <mergeCell ref="A11:N11"/>
  </mergeCells>
  <conditionalFormatting sqref="I3:N8">
    <cfRule type="expression" priority="1" dxfId="0">
      <formula>OR(I3=$B$3,J3=$B$3)</formula>
    </cfRule>
  </conditionalFormatting>
  <printOptions/>
  <pageMargins left="0.7" right="0.7" top="0.75" bottom="0.75" header="0.3" footer="0.3"/>
  <pageSetup horizontalDpi="200" verticalDpi="2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2"/>
  <sheetViews>
    <sheetView zoomScalePageLayoutView="0" workbookViewId="0" topLeftCell="A1">
      <selection activeCell="B3" sqref="B3"/>
    </sheetView>
  </sheetViews>
  <sheetFormatPr defaultColWidth="9.140625" defaultRowHeight="24.75" customHeight="1"/>
  <cols>
    <col min="1" max="1" width="18.28125" style="0" customWidth="1"/>
    <col min="2" max="2" width="12.7109375" style="0" bestFit="1" customWidth="1"/>
    <col min="3" max="4" width="7.7109375" style="0" customWidth="1"/>
    <col min="5" max="6" width="10.140625" style="0" customWidth="1"/>
    <col min="7" max="8" width="7.7109375" style="0" customWidth="1"/>
    <col min="9" max="9" width="3.8515625" style="0" customWidth="1"/>
    <col min="10" max="10" width="8.7109375" style="0" customWidth="1"/>
  </cols>
  <sheetData>
    <row r="1" spans="1:6" ht="24.75" customHeight="1">
      <c r="A1" s="49" t="s">
        <v>70</v>
      </c>
      <c r="B1" s="50"/>
      <c r="C1" s="50"/>
      <c r="D1" s="50"/>
      <c r="E1" s="50"/>
      <c r="F1" s="50"/>
    </row>
    <row r="2" spans="9:10" ht="24.75" customHeight="1" thickBot="1">
      <c r="I2" s="2"/>
      <c r="J2" s="2"/>
    </row>
    <row r="3" spans="1:10" ht="24.75" customHeight="1" thickBot="1">
      <c r="A3" s="8" t="s">
        <v>37</v>
      </c>
      <c r="B3" s="28">
        <v>9699690</v>
      </c>
      <c r="C3" s="3"/>
      <c r="H3" s="1"/>
      <c r="I3" s="9" t="s">
        <v>73</v>
      </c>
      <c r="J3" s="10">
        <f>$B$3-MOD($B$3-1,6)</f>
        <v>9699685</v>
      </c>
    </row>
    <row r="4" spans="5:10" ht="24.75" customHeight="1" thickBot="1">
      <c r="E4" s="6" t="s">
        <v>1</v>
      </c>
      <c r="F4" s="5">
        <f>$J$8/6</f>
        <v>1616615</v>
      </c>
      <c r="H4" s="1"/>
      <c r="I4" s="9" t="s">
        <v>74</v>
      </c>
      <c r="J4" s="10">
        <f>$J$3+1</f>
        <v>9699686</v>
      </c>
    </row>
    <row r="5" spans="5:10" ht="24.75" customHeight="1" thickBot="1">
      <c r="E5" s="6"/>
      <c r="F5" s="5"/>
      <c r="H5" s="1"/>
      <c r="I5" s="9" t="s">
        <v>75</v>
      </c>
      <c r="J5" s="10">
        <f>$J$3+2</f>
        <v>9699687</v>
      </c>
    </row>
    <row r="6" spans="5:10" ht="24.75" customHeight="1" thickBot="1">
      <c r="E6" s="6" t="s">
        <v>58</v>
      </c>
      <c r="F6" s="4" t="str">
        <f>LOOKUP($B$3-$J$3+1,{1,2,3,4,5,6},{"A or G","B or H","C or I","D or J","E or K","F or L"})</f>
        <v>F or L</v>
      </c>
      <c r="H6" s="1"/>
      <c r="I6" s="12" t="s">
        <v>76</v>
      </c>
      <c r="J6" s="10">
        <f>$J$3+3</f>
        <v>9699688</v>
      </c>
    </row>
    <row r="7" spans="8:10" ht="24.75" customHeight="1" thickBot="1">
      <c r="H7" s="1"/>
      <c r="I7" s="9" t="s">
        <v>77</v>
      </c>
      <c r="J7" s="10">
        <f>$J$3+4</f>
        <v>9699689</v>
      </c>
    </row>
    <row r="8" spans="1:10" ht="24.75" customHeight="1" thickBot="1">
      <c r="A8" s="6"/>
      <c r="E8" s="32"/>
      <c r="F8" s="32"/>
      <c r="H8" s="1"/>
      <c r="I8" s="9" t="s">
        <v>78</v>
      </c>
      <c r="J8" s="10">
        <f>$J$3+5</f>
        <v>9699690</v>
      </c>
    </row>
    <row r="9" spans="1:8" ht="24.75" customHeight="1">
      <c r="A9" s="6"/>
      <c r="E9" s="31"/>
      <c r="F9" s="31"/>
      <c r="H9" s="14"/>
    </row>
    <row r="10" spans="1:13" ht="16.5" customHeight="1">
      <c r="A10" s="51" t="s">
        <v>71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</row>
    <row r="11" spans="1:13" ht="16.5" customHeight="1">
      <c r="A11" s="50" t="s">
        <v>72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</row>
    <row r="12" spans="5:6" ht="24.75" customHeight="1">
      <c r="E12" s="31"/>
      <c r="F12" s="31"/>
    </row>
  </sheetData>
  <sheetProtection sheet="1" objects="1" scenarios="1" selectLockedCells="1"/>
  <mergeCells count="3">
    <mergeCell ref="A1:F1"/>
    <mergeCell ref="A10:M10"/>
    <mergeCell ref="A11:M11"/>
  </mergeCells>
  <conditionalFormatting sqref="I3:J8">
    <cfRule type="expression" priority="1" dxfId="0">
      <formula>OR(I3=$B$3,J3=$B$3)</formula>
    </cfRule>
  </conditionalFormatting>
  <printOptions/>
  <pageMargins left="0.7" right="0.7" top="0.75" bottom="0.75" header="0.3" footer="0.3"/>
  <pageSetup horizontalDpi="200" verticalDpi="2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0"/>
  <sheetViews>
    <sheetView zoomScalePageLayoutView="0" workbookViewId="0" topLeftCell="A1">
      <selection activeCell="B3" sqref="B3"/>
    </sheetView>
  </sheetViews>
  <sheetFormatPr defaultColWidth="9.140625" defaultRowHeight="24.75" customHeight="1"/>
  <cols>
    <col min="1" max="1" width="18.28125" style="0" customWidth="1"/>
    <col min="2" max="2" width="12.7109375" style="0" bestFit="1" customWidth="1"/>
    <col min="3" max="4" width="7.7109375" style="0" customWidth="1"/>
    <col min="5" max="6" width="10.140625" style="0" customWidth="1"/>
    <col min="7" max="8" width="7.7109375" style="0" customWidth="1"/>
    <col min="9" max="9" width="3.8515625" style="0" customWidth="1"/>
    <col min="10" max="10" width="8.7109375" style="0" customWidth="1"/>
  </cols>
  <sheetData>
    <row r="1" spans="1:6" ht="24.75" customHeight="1">
      <c r="A1" s="49" t="s">
        <v>102</v>
      </c>
      <c r="B1" s="50"/>
      <c r="C1" s="50"/>
      <c r="D1" s="50"/>
      <c r="E1" s="50"/>
      <c r="F1" s="50"/>
    </row>
    <row r="2" spans="9:10" ht="24.75" customHeight="1" thickBot="1">
      <c r="I2" s="2"/>
      <c r="J2" s="2"/>
    </row>
    <row r="3" spans="1:10" ht="24.75" customHeight="1" thickBot="1">
      <c r="A3" s="8" t="s">
        <v>37</v>
      </c>
      <c r="B3" s="45">
        <v>510510</v>
      </c>
      <c r="C3" s="3"/>
      <c r="E3" s="6" t="s">
        <v>1</v>
      </c>
      <c r="F3" s="5">
        <f>$J$6/4</f>
        <v>127628</v>
      </c>
      <c r="H3" s="1"/>
      <c r="I3" s="9" t="s">
        <v>103</v>
      </c>
      <c r="J3" s="46">
        <f>$B$3-MOD($B$3-1,4)</f>
        <v>510509</v>
      </c>
    </row>
    <row r="4" spans="5:10" ht="24.75" customHeight="1" thickBot="1">
      <c r="E4" s="6"/>
      <c r="F4" s="5"/>
      <c r="H4" s="1"/>
      <c r="I4" s="9" t="s">
        <v>104</v>
      </c>
      <c r="J4" s="46">
        <f>$J$3+1</f>
        <v>510510</v>
      </c>
    </row>
    <row r="5" spans="5:10" ht="24.75" customHeight="1" thickBot="1">
      <c r="E5" s="6" t="s">
        <v>58</v>
      </c>
      <c r="F5" s="4" t="str">
        <f>LOOKUP($B$3-$J$3+1,{1,2,3,4},{"A or E","B or F","C or G","D or H"})</f>
        <v>B or F</v>
      </c>
      <c r="H5" s="1"/>
      <c r="I5" s="9" t="s">
        <v>105</v>
      </c>
      <c r="J5" s="46">
        <f>$J$3+2</f>
        <v>510511</v>
      </c>
    </row>
    <row r="6" spans="5:10" ht="24.75" customHeight="1" thickBot="1">
      <c r="E6" s="40"/>
      <c r="F6" s="40"/>
      <c r="H6" s="1"/>
      <c r="I6" s="12" t="s">
        <v>106</v>
      </c>
      <c r="J6" s="46">
        <f>$J$3+3</f>
        <v>510512</v>
      </c>
    </row>
    <row r="7" spans="1:8" ht="24.75" customHeight="1">
      <c r="A7" s="6"/>
      <c r="E7" s="41"/>
      <c r="F7" s="41"/>
      <c r="H7" s="14"/>
    </row>
    <row r="8" spans="1:14" ht="16.5" customHeight="1">
      <c r="A8" s="51" t="s">
        <v>109</v>
      </c>
      <c r="B8" s="51"/>
      <c r="C8" s="51"/>
      <c r="D8" s="51"/>
      <c r="E8" s="51"/>
      <c r="F8" s="51"/>
      <c r="G8" s="51"/>
      <c r="H8" s="51"/>
      <c r="I8" s="51"/>
      <c r="J8" s="51"/>
      <c r="K8" s="44"/>
      <c r="L8" s="44"/>
      <c r="M8" s="44"/>
      <c r="N8" s="44"/>
    </row>
    <row r="9" spans="1:14" ht="16.5" customHeight="1">
      <c r="A9" s="50" t="s">
        <v>108</v>
      </c>
      <c r="B9" s="50"/>
      <c r="C9" s="50"/>
      <c r="D9" s="50"/>
      <c r="E9" s="50"/>
      <c r="F9" s="50"/>
      <c r="G9" s="50"/>
      <c r="H9" s="50"/>
      <c r="I9" s="50"/>
      <c r="J9" s="50"/>
      <c r="K9" s="43"/>
      <c r="L9" s="43"/>
      <c r="M9" s="43"/>
      <c r="N9" s="43"/>
    </row>
    <row r="10" spans="1:11" ht="16.5" customHeight="1">
      <c r="A10" s="50" t="s">
        <v>110</v>
      </c>
      <c r="B10" s="50"/>
      <c r="C10" s="50"/>
      <c r="D10" s="50"/>
      <c r="E10" s="50"/>
      <c r="F10" s="50"/>
      <c r="G10" s="50"/>
      <c r="H10" s="50"/>
      <c r="I10" s="50"/>
      <c r="J10" s="50"/>
      <c r="K10" s="43"/>
    </row>
  </sheetData>
  <sheetProtection sheet="1" objects="1" scenarios="1" selectLockedCells="1"/>
  <mergeCells count="4">
    <mergeCell ref="A8:J8"/>
    <mergeCell ref="A9:J9"/>
    <mergeCell ref="A10:J10"/>
    <mergeCell ref="A1:F1"/>
  </mergeCells>
  <conditionalFormatting sqref="I3:J6">
    <cfRule type="expression" priority="1" dxfId="0">
      <formula>OR(I3=$B$3,J3=$B$3)</formula>
    </cfRule>
  </conditionalFormatting>
  <printOptions/>
  <pageMargins left="0.7" right="0.7" top="0.75" bottom="0.75" header="0.3" footer="0.3"/>
  <pageSetup horizontalDpi="200" verticalDpi="2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8"/>
  <sheetViews>
    <sheetView zoomScalePageLayoutView="0" workbookViewId="0" topLeftCell="A1">
      <selection activeCell="B3" sqref="B3"/>
    </sheetView>
  </sheetViews>
  <sheetFormatPr defaultColWidth="9.140625" defaultRowHeight="24.75" customHeight="1"/>
  <cols>
    <col min="1" max="1" width="18.28125" style="0" customWidth="1"/>
    <col min="2" max="2" width="12.7109375" style="0" bestFit="1" customWidth="1"/>
    <col min="3" max="4" width="7.7109375" style="0" customWidth="1"/>
    <col min="5" max="6" width="10.140625" style="0" customWidth="1"/>
    <col min="7" max="8" width="7.7109375" style="0" customWidth="1"/>
    <col min="9" max="9" width="2.140625" style="0" customWidth="1"/>
    <col min="10" max="10" width="8.7109375" style="0" customWidth="1"/>
  </cols>
  <sheetData>
    <row r="1" spans="1:6" ht="24.75" customHeight="1">
      <c r="A1" s="49" t="s">
        <v>107</v>
      </c>
      <c r="B1" s="50"/>
      <c r="C1" s="50"/>
      <c r="D1" s="50"/>
      <c r="E1" s="50"/>
      <c r="F1" s="50"/>
    </row>
    <row r="2" spans="9:10" ht="24.75" customHeight="1" thickBot="1">
      <c r="I2" s="2"/>
      <c r="J2" s="2"/>
    </row>
    <row r="3" spans="1:10" ht="24.75" customHeight="1" thickBot="1">
      <c r="A3" s="8" t="s">
        <v>37</v>
      </c>
      <c r="B3" s="45">
        <v>30030</v>
      </c>
      <c r="C3" s="3"/>
      <c r="E3" s="6" t="s">
        <v>1</v>
      </c>
      <c r="F3" s="5">
        <f>$J$5/3</f>
        <v>10010</v>
      </c>
      <c r="H3" s="1"/>
      <c r="I3" s="9" t="s">
        <v>40</v>
      </c>
      <c r="J3" s="46">
        <f>$B$3-MOD($B$3-1,3)</f>
        <v>30028</v>
      </c>
    </row>
    <row r="4" spans="5:10" ht="24.75" customHeight="1" thickBot="1">
      <c r="E4" s="6"/>
      <c r="F4" s="5"/>
      <c r="H4" s="1"/>
      <c r="I4" s="9" t="s">
        <v>41</v>
      </c>
      <c r="J4" s="46">
        <f>$J$3+1</f>
        <v>30029</v>
      </c>
    </row>
    <row r="5" spans="5:10" ht="24.75" customHeight="1" thickBot="1">
      <c r="E5" s="6" t="s">
        <v>58</v>
      </c>
      <c r="F5" s="4" t="str">
        <f>LOOKUP($B$3-$J$3+1,{1,2,3},{"A","B","C"})</f>
        <v>C</v>
      </c>
      <c r="H5" s="1"/>
      <c r="I5" s="9" t="s">
        <v>42</v>
      </c>
      <c r="J5" s="46">
        <f>$J$3+2</f>
        <v>30030</v>
      </c>
    </row>
    <row r="6" spans="5:6" ht="24.75" customHeight="1">
      <c r="E6" s="40"/>
      <c r="F6" s="40"/>
    </row>
    <row r="7" spans="1:8" ht="24.75" customHeight="1">
      <c r="A7" s="6"/>
      <c r="E7" s="41"/>
      <c r="F7" s="41"/>
      <c r="H7" s="14"/>
    </row>
    <row r="8" spans="1:14" ht="16.5" customHeight="1">
      <c r="A8" s="51" t="s">
        <v>109</v>
      </c>
      <c r="B8" s="51"/>
      <c r="C8" s="51"/>
      <c r="D8" s="51"/>
      <c r="E8" s="51"/>
      <c r="F8" s="51"/>
      <c r="G8" s="51"/>
      <c r="H8" s="51"/>
      <c r="I8" s="51"/>
      <c r="J8" s="51"/>
      <c r="K8" s="41"/>
      <c r="L8" s="41"/>
      <c r="M8" s="41"/>
      <c r="N8" s="41"/>
    </row>
  </sheetData>
  <sheetProtection sheet="1" objects="1" scenarios="1" selectLockedCells="1"/>
  <mergeCells count="2">
    <mergeCell ref="A1:F1"/>
    <mergeCell ref="A8:J8"/>
  </mergeCells>
  <conditionalFormatting sqref="I3:J5">
    <cfRule type="expression" priority="1" dxfId="0">
      <formula>OR(I3=$B$3,J3=$B$3)</formula>
    </cfRule>
  </conditionalFormatting>
  <printOptions/>
  <pageMargins left="0.7" right="0.7" top="0.75" bottom="0.75" header="0.3" footer="0.3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created xsi:type="dcterms:W3CDTF">2008-03-30T20:47:20Z</dcterms:created>
  <dcterms:modified xsi:type="dcterms:W3CDTF">2014-05-18T01:16:32Z</dcterms:modified>
  <cp:category/>
  <cp:version/>
  <cp:contentType/>
  <cp:contentStatus/>
</cp:coreProperties>
</file>